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ata\harald.mueller\daten\VB1\11_diverse_Berechnungsprogramme\"/>
    </mc:Choice>
  </mc:AlternateContent>
  <bookViews>
    <workbookView xWindow="240" yWindow="105" windowWidth="18780" windowHeight="11895"/>
  </bookViews>
  <sheets>
    <sheet name="Tabelle1" sheetId="1" r:id="rId1"/>
  </sheets>
  <definedNames>
    <definedName name="In" localSheetId="0">Tabelle1!$K$2</definedName>
    <definedName name="L" localSheetId="0">Tabelle1!$K$4</definedName>
    <definedName name="L_1" localSheetId="0">Tabelle1!$K$3</definedName>
    <definedName name="Q" localSheetId="0">Tabelle1!$I$8</definedName>
    <definedName name="Q_2" localSheetId="0">Tabelle1!$J$8</definedName>
    <definedName name="Q_3" localSheetId="0">Tabelle1!$K$8</definedName>
    <definedName name="Q_4" localSheetId="0">Tabelle1!$L$8</definedName>
    <definedName name="Umin">Tabelle1!$K$6</definedName>
    <definedName name="Un">Tabelle1!$K$5</definedName>
  </definedNames>
  <calcPr calcId="152511"/>
</workbook>
</file>

<file path=xl/calcChain.xml><?xml version="1.0" encoding="utf-8"?>
<calcChain xmlns="http://schemas.openxmlformats.org/spreadsheetml/2006/main">
  <c r="L25" i="1" l="1"/>
  <c r="K25" i="1"/>
  <c r="J25" i="1"/>
  <c r="I25" i="1"/>
  <c r="L24" i="1"/>
  <c r="K24" i="1"/>
  <c r="J24" i="1"/>
  <c r="I24" i="1"/>
  <c r="L23" i="1"/>
  <c r="K23" i="1"/>
  <c r="J23" i="1"/>
  <c r="I23" i="1"/>
  <c r="L22" i="1"/>
  <c r="K22" i="1"/>
  <c r="J22" i="1"/>
  <c r="I22" i="1"/>
  <c r="L21" i="1"/>
  <c r="K21" i="1"/>
  <c r="J21" i="1"/>
  <c r="I21" i="1"/>
  <c r="L20" i="1"/>
  <c r="K20" i="1"/>
  <c r="J20" i="1"/>
  <c r="I20" i="1"/>
  <c r="L19" i="1"/>
  <c r="K19" i="1"/>
  <c r="J19" i="1"/>
  <c r="I19" i="1"/>
  <c r="L18" i="1"/>
  <c r="K18" i="1"/>
  <c r="J18" i="1"/>
  <c r="I18" i="1"/>
  <c r="L17" i="1"/>
  <c r="K17" i="1"/>
  <c r="J17" i="1"/>
  <c r="I17" i="1"/>
  <c r="L16" i="1"/>
  <c r="K16" i="1"/>
  <c r="J16" i="1"/>
  <c r="I16" i="1"/>
  <c r="L15" i="1"/>
  <c r="K15" i="1"/>
  <c r="J15" i="1"/>
  <c r="I15" i="1"/>
  <c r="L14" i="1"/>
  <c r="K14" i="1"/>
  <c r="J14" i="1"/>
  <c r="I14" i="1"/>
  <c r="L13" i="1"/>
  <c r="K13" i="1"/>
  <c r="J13" i="1"/>
  <c r="I13" i="1"/>
  <c r="L12" i="1"/>
  <c r="K12" i="1"/>
  <c r="J12" i="1"/>
  <c r="I12" i="1"/>
  <c r="L11" i="1"/>
  <c r="K11" i="1"/>
  <c r="J11" i="1"/>
  <c r="I11" i="1"/>
  <c r="L10" i="1"/>
  <c r="K10" i="1"/>
  <c r="J10" i="1"/>
  <c r="I10" i="1"/>
</calcChain>
</file>

<file path=xl/sharedStrings.xml><?xml version="1.0" encoding="utf-8"?>
<sst xmlns="http://schemas.openxmlformats.org/spreadsheetml/2006/main" count="9" uniqueCount="9">
  <si>
    <t>Am letzten Antrieb eines Stranges verfügbare Spannung</t>
  </si>
  <si>
    <t>Anzahl Antriebe</t>
  </si>
  <si>
    <t>Vorausgesetzt wird eine gleichmäßige Leitungsaufteilung zwischen erstem und letztem Antrieb!</t>
  </si>
  <si>
    <r>
      <t>Motornennstrom I</t>
    </r>
    <r>
      <rPr>
        <vertAlign val="subscript"/>
        <sz val="14"/>
        <rFont val="Arial"/>
        <family val="2"/>
      </rPr>
      <t>N</t>
    </r>
    <r>
      <rPr>
        <sz val="14"/>
        <rFont val="Arial"/>
        <family val="2"/>
      </rPr>
      <t xml:space="preserve"> (A)</t>
    </r>
  </si>
  <si>
    <t>Leitungslänge L1 bis zum ersten Motor (m)</t>
  </si>
  <si>
    <t>Leitungslänge L2 bis Ln bis zum letzten Motor (m)</t>
  </si>
  <si>
    <t>Mindestspannung am Antrieb (VAC od. VDC)</t>
  </si>
  <si>
    <r>
      <t>Kabelquerschnitt (mm</t>
    </r>
    <r>
      <rPr>
        <vertAlign val="superscript"/>
        <sz val="14"/>
        <color indexed="8"/>
        <rFont val="Calibri"/>
        <family val="2"/>
      </rPr>
      <t>2</t>
    </r>
    <r>
      <rPr>
        <sz val="14"/>
        <color indexed="8"/>
        <rFont val="Calibri"/>
        <family val="2"/>
      </rPr>
      <t>)</t>
    </r>
  </si>
  <si>
    <r>
      <t>Versorgungsnennspannung U</t>
    </r>
    <r>
      <rPr>
        <vertAlign val="subscript"/>
        <sz val="14"/>
        <rFont val="Arial"/>
        <family val="2"/>
      </rPr>
      <t>N</t>
    </r>
    <r>
      <rPr>
        <sz val="14"/>
        <rFont val="Arial"/>
        <family val="2"/>
      </rPr>
      <t xml:space="preserve"> (VAC od. VDC)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</si>
</sst>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4"/>
      <name val="Arial"/>
      <family val="2"/>
    </font>
    <font>
      <b/>
      <sz val="14"/>
      <name val="Arial"/>
      <family val="2"/>
    </font>
    <font>
      <vertAlign val="subscript"/>
      <sz val="14"/>
      <name val="Arial"/>
      <family val="2"/>
    </font>
    <font>
      <sz val="14"/>
      <color indexed="8"/>
      <name val="Calibri"/>
      <family val="2"/>
    </font>
    <font>
      <vertAlign val="superscript"/>
      <sz val="14"/>
      <color indexed="8"/>
      <name val="Calibri"/>
      <family val="2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medium">
        <color theme="0" tint="-0.34998626667073579"/>
      </left>
      <right style="medium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/>
      <right/>
      <top/>
      <bottom style="medium">
        <color theme="0" tint="-0.34998626667073579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6" fillId="0" borderId="0" xfId="0" applyFont="1"/>
    <xf numFmtId="0" fontId="2" fillId="0" borderId="0" xfId="0" applyFont="1" applyAlignment="1">
      <alignment vertical="center"/>
    </xf>
    <xf numFmtId="0" fontId="6" fillId="2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6" fillId="2" borderId="2" xfId="0" applyFont="1" applyFill="1" applyBorder="1" applyAlignment="1">
      <alignment horizontal="center"/>
    </xf>
    <xf numFmtId="2" fontId="6" fillId="3" borderId="2" xfId="0" applyNumberFormat="1" applyFont="1" applyFill="1" applyBorder="1" applyAlignment="1" applyProtection="1">
      <alignment horizontal="center"/>
      <protection locked="0"/>
    </xf>
    <xf numFmtId="0" fontId="6" fillId="3" borderId="2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left" vertical="center"/>
    </xf>
  </cellXfs>
  <cellStyles count="1">
    <cellStyle name="Standard" xfId="0" builtinId="0"/>
  </cellStyles>
  <dxfs count="1"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58510</xdr:colOff>
      <xdr:row>0</xdr:row>
      <xdr:rowOff>220702</xdr:rowOff>
    </xdr:from>
    <xdr:to>
      <xdr:col>6</xdr:col>
      <xdr:colOff>340732</xdr:colOff>
      <xdr:row>14</xdr:row>
      <xdr:rowOff>223570</xdr:rowOff>
    </xdr:to>
    <xdr:sp macro="" textlink="">
      <xdr:nvSpPr>
        <xdr:cNvPr id="2" name="Textfeld 1"/>
        <xdr:cNvSpPr txBox="1"/>
      </xdr:nvSpPr>
      <xdr:spPr>
        <a:xfrm>
          <a:off x="58510" y="220702"/>
          <a:ext cx="7611826" cy="4533051"/>
        </a:xfrm>
        <a:prstGeom prst="rect">
          <a:avLst/>
        </a:prstGeom>
        <a:solidFill>
          <a:schemeClr val="accent3">
            <a:lumMod val="60000"/>
            <a:lumOff val="4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de-CH" sz="1400">
              <a:solidFill>
                <a:schemeClr val="dk1"/>
              </a:solidFill>
              <a:latin typeface="+mn-lt"/>
              <a:ea typeface="+mn-ea"/>
              <a:cs typeface="+mn-cs"/>
            </a:rPr>
            <a:t>Bei der Dimensionierung der Leitungsquerschnitte wurde bis dato von einer 1:1-Verbindung von einem Aktorkanal zu einem Antrieb ausgegangen. Aufgrund der Möglichkeit mit SMI bis zu 16 Antriebe parallel zu schalten sind nun 1:n-Verbindungen möglich, d.h. von einem Kanal eines Aktors kann eine Anzahl n von Antrieben angesteuert werden. Dies bedeutet, dass sich auch die Ströme welche über die Leitung fließen um den Faktor n erhöhen. Der Leitungsdimensionierung ist daher entsprechende Beachtung zu schenken.</a:t>
          </a:r>
          <a:endParaRPr lang="de-DE" sz="14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de-CH" sz="1400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  <a:endParaRPr lang="de-DE" sz="14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de-CH" sz="1400">
              <a:solidFill>
                <a:schemeClr val="dk1"/>
              </a:solidFill>
              <a:latin typeface="+mn-lt"/>
              <a:ea typeface="+mn-ea"/>
              <a:cs typeface="+mn-cs"/>
            </a:rPr>
            <a:t>Das nachfolgende Schaltschema zeigt die Verteilung der Ströme und Spannungen bei Ansteuerung von parallel geschalteten Antrieben (M1 … Mn) über einen Kanal eines SMI-Aktors. Vom Aktor bis zum ersten Antrieb fließt die Summe aller Motornennströme n x I</a:t>
          </a:r>
          <a:r>
            <a:rPr lang="de-CH" sz="1400" baseline="-25000">
              <a:solidFill>
                <a:schemeClr val="dk1"/>
              </a:solidFill>
              <a:latin typeface="+mn-lt"/>
              <a:ea typeface="+mn-ea"/>
              <a:cs typeface="+mn-cs"/>
            </a:rPr>
            <a:t>N</a:t>
          </a:r>
          <a:r>
            <a:rPr lang="de-CH" sz="1400">
              <a:solidFill>
                <a:schemeClr val="dk1"/>
              </a:solidFill>
              <a:latin typeface="+mn-lt"/>
              <a:ea typeface="+mn-ea"/>
              <a:cs typeface="+mn-cs"/>
            </a:rPr>
            <a:t>; zwischen erstem und zweitem Antrieb fließt ein um den Motornennstrom geringerer Strom (n-1) x I</a:t>
          </a:r>
          <a:r>
            <a:rPr lang="de-CH" sz="1400" baseline="-25000">
              <a:solidFill>
                <a:schemeClr val="dk1"/>
              </a:solidFill>
              <a:latin typeface="+mn-lt"/>
              <a:ea typeface="+mn-ea"/>
              <a:cs typeface="+mn-cs"/>
            </a:rPr>
            <a:t>N</a:t>
          </a:r>
          <a:r>
            <a:rPr lang="de-CH" sz="1400">
              <a:solidFill>
                <a:schemeClr val="dk1"/>
              </a:solidFill>
              <a:latin typeface="+mn-lt"/>
              <a:ea typeface="+mn-ea"/>
              <a:cs typeface="+mn-cs"/>
            </a:rPr>
            <a:t>; bis hin zum letzten Antrieb in welchem nur noch der Motornennstrom I</a:t>
          </a:r>
          <a:r>
            <a:rPr lang="de-CH" sz="1400" baseline="-25000">
              <a:solidFill>
                <a:schemeClr val="dk1"/>
              </a:solidFill>
              <a:latin typeface="+mn-lt"/>
              <a:ea typeface="+mn-ea"/>
              <a:cs typeface="+mn-cs"/>
            </a:rPr>
            <a:t>N</a:t>
          </a:r>
          <a:r>
            <a:rPr lang="de-CH" sz="1400">
              <a:solidFill>
                <a:schemeClr val="dk1"/>
              </a:solidFill>
              <a:latin typeface="+mn-lt"/>
              <a:ea typeface="+mn-ea"/>
              <a:cs typeface="+mn-cs"/>
            </a:rPr>
            <a:t> fließt. Aufgrund der Ströme fallen auf den einzelnen Leitungsabschnitten in Abhängigkeit von der Länge (L1, L2, ... Ln) und Querschnitt der Leitung unterschiedliche Spannungen (U</a:t>
          </a:r>
          <a:r>
            <a:rPr lang="de-CH" sz="1400" baseline="-25000">
              <a:solidFill>
                <a:schemeClr val="dk1"/>
              </a:solidFill>
              <a:latin typeface="+mn-lt"/>
              <a:ea typeface="+mn-ea"/>
              <a:cs typeface="+mn-cs"/>
            </a:rPr>
            <a:t>L1</a:t>
          </a:r>
          <a:r>
            <a:rPr lang="de-CH" sz="1400">
              <a:solidFill>
                <a:schemeClr val="dk1"/>
              </a:solidFill>
              <a:latin typeface="+mn-lt"/>
              <a:ea typeface="+mn-ea"/>
              <a:cs typeface="+mn-cs"/>
            </a:rPr>
            <a:t>, U</a:t>
          </a:r>
          <a:r>
            <a:rPr lang="de-CH" sz="1400" baseline="-25000">
              <a:solidFill>
                <a:schemeClr val="dk1"/>
              </a:solidFill>
              <a:latin typeface="+mn-lt"/>
              <a:ea typeface="+mn-ea"/>
              <a:cs typeface="+mn-cs"/>
            </a:rPr>
            <a:t>L2</a:t>
          </a:r>
          <a:r>
            <a:rPr lang="de-CH" sz="1400">
              <a:solidFill>
                <a:schemeClr val="dk1"/>
              </a:solidFill>
              <a:latin typeface="+mn-lt"/>
              <a:ea typeface="+mn-ea"/>
              <a:cs typeface="+mn-cs"/>
            </a:rPr>
            <a:t>, … U</a:t>
          </a:r>
          <a:r>
            <a:rPr lang="de-CH" sz="1400" baseline="-25000">
              <a:solidFill>
                <a:schemeClr val="dk1"/>
              </a:solidFill>
              <a:latin typeface="+mn-lt"/>
              <a:ea typeface="+mn-ea"/>
              <a:cs typeface="+mn-cs"/>
            </a:rPr>
            <a:t>Ln</a:t>
          </a:r>
          <a:r>
            <a:rPr lang="de-CH" sz="1400">
              <a:solidFill>
                <a:schemeClr val="dk1"/>
              </a:solidFill>
              <a:latin typeface="+mn-lt"/>
              <a:ea typeface="+mn-ea"/>
              <a:cs typeface="+mn-cs"/>
            </a:rPr>
            <a:t>) ab, die die jeweilige Spannung  am Motor(U</a:t>
          </a:r>
          <a:r>
            <a:rPr lang="de-CH" sz="1400" baseline="-25000">
              <a:solidFill>
                <a:schemeClr val="dk1"/>
              </a:solidFill>
              <a:latin typeface="+mn-lt"/>
              <a:ea typeface="+mn-ea"/>
              <a:cs typeface="+mn-cs"/>
            </a:rPr>
            <a:t>M1</a:t>
          </a:r>
          <a:r>
            <a:rPr lang="de-CH" sz="1400">
              <a:solidFill>
                <a:schemeClr val="dk1"/>
              </a:solidFill>
              <a:latin typeface="+mn-lt"/>
              <a:ea typeface="+mn-ea"/>
              <a:cs typeface="+mn-cs"/>
            </a:rPr>
            <a:t>, U</a:t>
          </a:r>
          <a:r>
            <a:rPr lang="de-CH" sz="1400" baseline="-25000">
              <a:solidFill>
                <a:schemeClr val="dk1"/>
              </a:solidFill>
              <a:latin typeface="+mn-lt"/>
              <a:ea typeface="+mn-ea"/>
              <a:cs typeface="+mn-cs"/>
            </a:rPr>
            <a:t>M2</a:t>
          </a:r>
          <a:r>
            <a:rPr lang="de-CH" sz="1400">
              <a:solidFill>
                <a:schemeClr val="dk1"/>
              </a:solidFill>
              <a:latin typeface="+mn-lt"/>
              <a:ea typeface="+mn-ea"/>
              <a:cs typeface="+mn-cs"/>
            </a:rPr>
            <a:t>, … U</a:t>
          </a:r>
          <a:r>
            <a:rPr lang="de-CH" sz="1400" baseline="-25000">
              <a:solidFill>
                <a:schemeClr val="dk1"/>
              </a:solidFill>
              <a:latin typeface="+mn-lt"/>
              <a:ea typeface="+mn-ea"/>
              <a:cs typeface="+mn-cs"/>
            </a:rPr>
            <a:t>Mn</a:t>
          </a:r>
          <a:r>
            <a:rPr lang="de-CH" sz="1400">
              <a:solidFill>
                <a:schemeClr val="dk1"/>
              </a:solidFill>
              <a:latin typeface="+mn-lt"/>
              <a:ea typeface="+mn-ea"/>
              <a:cs typeface="+mn-cs"/>
            </a:rPr>
            <a:t>) reduzieren. Netzspannungsantriebe sind in der Regel für eine maximale Unterspannung von 230V -10% (207V) ausgelegt.  Die Leitungen sind so auszulegen, dass am letzten Antrieb eine Spannung von 207 V nicht unterschritten wird.</a:t>
          </a:r>
        </a:p>
        <a:p>
          <a:endParaRPr lang="de-CH" sz="14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de-CH" sz="1400">
              <a:solidFill>
                <a:schemeClr val="dk1"/>
              </a:solidFill>
              <a:latin typeface="+mn-lt"/>
              <a:ea typeface="+mn-ea"/>
              <a:cs typeface="+mn-cs"/>
            </a:rPr>
            <a:t>Bitte geben</a:t>
          </a:r>
          <a:r>
            <a:rPr lang="de-CH" sz="1400" baseline="0">
              <a:solidFill>
                <a:schemeClr val="dk1"/>
              </a:solidFill>
              <a:latin typeface="+mn-lt"/>
              <a:ea typeface="+mn-ea"/>
              <a:cs typeface="+mn-cs"/>
            </a:rPr>
            <a:t> Sie in der rechten Tabelle die Daten in den gelben Feldern ein. Rot markierte Felder zeigen eine nicht zulässige Auslegung.</a:t>
          </a:r>
          <a:endParaRPr lang="de-DE" sz="140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0</xdr:col>
      <xdr:colOff>28575</xdr:colOff>
      <xdr:row>16</xdr:row>
      <xdr:rowOff>66675</xdr:rowOff>
    </xdr:from>
    <xdr:to>
      <xdr:col>6</xdr:col>
      <xdr:colOff>304800</xdr:colOff>
      <xdr:row>25</xdr:row>
      <xdr:rowOff>9525</xdr:rowOff>
    </xdr:to>
    <xdr:pic>
      <xdr:nvPicPr>
        <xdr:cNvPr id="1070" name="Grafik 2" descr="110224_ströme_spannungen_parallelschaltung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9583" b="30417"/>
        <a:stretch>
          <a:fillRect/>
        </a:stretch>
      </xdr:blipFill>
      <xdr:spPr bwMode="auto">
        <a:xfrm>
          <a:off x="28575" y="5219700"/>
          <a:ext cx="7600950" cy="277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4"/>
  <sheetViews>
    <sheetView showGridLines="0" tabSelected="1" zoomScale="82" zoomScaleNormal="82" workbookViewId="0">
      <selection activeCell="K3" sqref="K3"/>
    </sheetView>
  </sheetViews>
  <sheetFormatPr baseColWidth="10" defaultRowHeight="15" x14ac:dyDescent="0.25"/>
  <cols>
    <col min="1" max="5" width="20.7109375" customWidth="1"/>
    <col min="6" max="6" width="6.28515625" customWidth="1"/>
    <col min="7" max="7" width="7.28515625" customWidth="1"/>
    <col min="8" max="8" width="30.140625" customWidth="1"/>
    <col min="9" max="12" width="18.7109375" customWidth="1"/>
  </cols>
  <sheetData>
    <row r="1" spans="8:12" ht="18" customHeight="1" thickBot="1" x14ac:dyDescent="0.3"/>
    <row r="2" spans="8:12" ht="24.95" customHeight="1" thickBot="1" x14ac:dyDescent="0.3">
      <c r="H2" s="10" t="s">
        <v>3</v>
      </c>
      <c r="I2" s="10"/>
      <c r="J2" s="10"/>
      <c r="K2" s="6">
        <v>0.6</v>
      </c>
    </row>
    <row r="3" spans="8:12" ht="24.95" customHeight="1" thickBot="1" x14ac:dyDescent="0.3">
      <c r="H3" s="10" t="s">
        <v>4</v>
      </c>
      <c r="I3" s="10"/>
      <c r="J3" s="10"/>
      <c r="K3" s="6">
        <v>20</v>
      </c>
    </row>
    <row r="4" spans="8:12" ht="24.95" customHeight="1" thickBot="1" x14ac:dyDescent="0.3">
      <c r="H4" s="10" t="s">
        <v>5</v>
      </c>
      <c r="I4" s="10"/>
      <c r="J4" s="10"/>
      <c r="K4" s="6">
        <v>330</v>
      </c>
    </row>
    <row r="5" spans="8:12" ht="24.95" customHeight="1" thickBot="1" x14ac:dyDescent="0.3">
      <c r="H5" s="10" t="s">
        <v>8</v>
      </c>
      <c r="I5" s="10"/>
      <c r="J5" s="10"/>
      <c r="K5" s="6">
        <v>230</v>
      </c>
    </row>
    <row r="6" spans="8:12" ht="24.95" customHeight="1" thickBot="1" x14ac:dyDescent="0.3">
      <c r="H6" s="10" t="s">
        <v>6</v>
      </c>
      <c r="I6" s="10"/>
      <c r="J6" s="10"/>
      <c r="K6" s="6">
        <v>207</v>
      </c>
    </row>
    <row r="7" spans="8:12" ht="47.25" customHeight="1" x14ac:dyDescent="0.25">
      <c r="H7" s="2" t="s">
        <v>0</v>
      </c>
    </row>
    <row r="8" spans="8:12" ht="21.95" customHeight="1" thickBot="1" x14ac:dyDescent="0.35">
      <c r="H8" s="7" t="s">
        <v>7</v>
      </c>
      <c r="I8" s="8">
        <v>0.75</v>
      </c>
      <c r="J8" s="9">
        <v>1</v>
      </c>
      <c r="K8" s="9">
        <v>1.5</v>
      </c>
      <c r="L8" s="9">
        <v>2.5</v>
      </c>
    </row>
    <row r="9" spans="8:12" ht="21.95" customHeight="1" x14ac:dyDescent="0.3">
      <c r="H9" s="3" t="s">
        <v>1</v>
      </c>
      <c r="I9" s="4"/>
      <c r="J9" s="4"/>
      <c r="K9" s="4"/>
      <c r="L9" s="4"/>
    </row>
    <row r="10" spans="8:12" ht="24.95" customHeight="1" x14ac:dyDescent="0.3">
      <c r="H10" s="3">
        <v>1</v>
      </c>
      <c r="I10" s="5">
        <f>Un-ROUND(0.0179*2*L_1*In*$H10/Q,1)</f>
        <v>229.4</v>
      </c>
      <c r="J10" s="5">
        <f>Un-ROUND(0.0179*2*L_1*In*$H10/Q_2,1)</f>
        <v>229.6</v>
      </c>
      <c r="K10" s="5">
        <f>Un-ROUND(0.0179*2*L_1*In*$H10/Q_3,1)</f>
        <v>229.7</v>
      </c>
      <c r="L10" s="5">
        <f>Un-ROUND(0.0179*2*L_1*In*$H10/Q_4,1)</f>
        <v>229.8</v>
      </c>
    </row>
    <row r="11" spans="8:12" ht="24.95" customHeight="1" x14ac:dyDescent="0.3">
      <c r="H11" s="3">
        <v>2</v>
      </c>
      <c r="I11" s="5">
        <f>Un-ROUND(0.0179*2*L_1*In*$H11/Q,1)-ROUND(0.0179*2*(L-L_1)/$H10*In*$H10/Q,1)</f>
        <v>220</v>
      </c>
      <c r="J11" s="5">
        <f>Un-ROUND(0.0179*2*L_1*In*$H11/Q_2,1)-ROUND(0.0179*2*(L-L_1)/$H10*In*$H10/Q_2,1)</f>
        <v>222.4</v>
      </c>
      <c r="K11" s="5">
        <f>Un-ROUND(0.0179*2*L_1*In*$H11/Q_3,1)-ROUND(0.0179*2*(L-L_1)/$H10*In*$H10/Q_3,1)</f>
        <v>225</v>
      </c>
      <c r="L11" s="5">
        <f>Un-ROUND(0.0179*2*L_1*In*$H11/Q_4,1)-ROUND(0.0179*2*(L-L_1)/$H10*In*$H10/Q_4,1)</f>
        <v>227</v>
      </c>
    </row>
    <row r="12" spans="8:12" ht="24.95" customHeight="1" x14ac:dyDescent="0.3">
      <c r="H12" s="3">
        <v>3</v>
      </c>
      <c r="I12" s="5">
        <f>Un-ROUND(0.0179*2*L_1*In*$H12/Q,1)-ROUND(0.0179*2*(L-L_1)/$H11*In*($H11+$H10)/Q,1)</f>
        <v>215</v>
      </c>
      <c r="J12" s="5">
        <f>Un-ROUND(0.0179*2*L_1*In*$H12/Q_2,1)-ROUND(0.0179*2*(L-L_1)/$H11*In*($H11+$H10)/Q_2,1)</f>
        <v>218.7</v>
      </c>
      <c r="K12" s="5">
        <f>Un-ROUND(0.0179*2*L_1*In*$H12/Q_3,1)-ROUND(0.0179*2*(L-L_1)/$H11*In*($H11+$H10)/Q_3,1)</f>
        <v>222.4</v>
      </c>
      <c r="L12" s="5">
        <f>Un-ROUND(0.0179*2*L_1*In*$H12/Q_4,1)-ROUND(0.0179*2*(L-L_1)/$H11*In*($H11+$H10)/Q_4,1)</f>
        <v>225.5</v>
      </c>
    </row>
    <row r="13" spans="8:12" ht="24.95" customHeight="1" x14ac:dyDescent="0.3">
      <c r="H13" s="3">
        <v>4</v>
      </c>
      <c r="I13" s="5">
        <f>Un-ROUND(0.0179*2*L_1*In*$H13/Q,1)-ROUND(0.0179*2*(L-L_1)/$H12*In*($H12+$H11+$H10)/Q,1)</f>
        <v>209.89999999999998</v>
      </c>
      <c r="J13" s="5">
        <f>Un-ROUND(0.0179*2*L_1*In*$H13/Q_2,1)-ROUND(0.0179*2*(L-L_1)/$H12*In*($H12+$H11+$H10)/Q_2,1)</f>
        <v>215</v>
      </c>
      <c r="K13" s="5">
        <f>Un-ROUND(0.0179*2*L_1*In*$H13/Q_3,1)-ROUND(0.0179*2*(L-L_1)/$H12*In*($H12+$H11+$H10)/Q_3,1)</f>
        <v>220</v>
      </c>
      <c r="L13" s="5">
        <f>Un-ROUND(0.0179*2*L_1*In*$H13/Q_4,1)-ROUND(0.0179*2*(L-L_1)/$H12*In*($H12+$H11+$H10)/Q_4,1)</f>
        <v>224</v>
      </c>
    </row>
    <row r="14" spans="8:12" ht="24.95" customHeight="1" x14ac:dyDescent="0.3">
      <c r="H14" s="3">
        <v>5</v>
      </c>
      <c r="I14" s="5">
        <f>Un-ROUND(0.0179*2*L_1*In*$H14/Q,1)-ROUND(0.0179*2*(L-L_1)/$H13*In*($H13+$H12+$H11+$H10)/Q,1)</f>
        <v>204.9</v>
      </c>
      <c r="J14" s="5">
        <f>Un-ROUND(0.0179*2*L_1*In*$H14/Q_2,1)-ROUND(0.0179*2*(L-L_1)/$H13*In*($H13+$H12+$H11+$H10)/Q_2,1)</f>
        <v>211.3</v>
      </c>
      <c r="K14" s="5">
        <f>Un-ROUND(0.0179*2*L_1*In*$H14/Q_3,1)-ROUND(0.0179*2*(L-L_1)/$H13*In*($H13+$H12+$H11+$H10)/Q_3,1)</f>
        <v>217.5</v>
      </c>
      <c r="L14" s="5">
        <f>Un-ROUND(0.0179*2*L_1*In*$H14/Q_4,1)-ROUND(0.0179*2*(L-L_1)/$H13*In*($H13+$H12+$H11+$H10)/Q_4,1)</f>
        <v>222.4</v>
      </c>
    </row>
    <row r="15" spans="8:12" ht="24.95" customHeight="1" x14ac:dyDescent="0.3">
      <c r="H15" s="3">
        <v>6</v>
      </c>
      <c r="I15" s="5">
        <f>Un-ROUND(0.0179*2*L_1*In*$H15/Q,1)-ROUND(0.0179*2*(L-L_1)/$H14*In*($H14+$H13+$H12+$H11+$H10)/Q,1)</f>
        <v>200</v>
      </c>
      <c r="J15" s="5">
        <f>Un-ROUND(0.0179*2*L_1*In*$H15/Q_2,1)-ROUND(0.0179*2*(L-L_1)/$H14*In*($H14+$H13+$H12+$H11+$H10)/Q_2,1)</f>
        <v>207.4</v>
      </c>
      <c r="K15" s="5">
        <f>Un-ROUND(0.0179*2*L_1*In*$H15/Q_3,1)-ROUND(0.0179*2*(L-L_1)/$H14*In*($H14+$H13+$H12+$H11+$H10)/Q_3,1)</f>
        <v>215</v>
      </c>
      <c r="L15" s="5">
        <f>Un-ROUND(0.0179*2*L_1*In*$H15/Q_4,1)-ROUND(0.0179*2*(L-L_1)/$H14*In*($H14+$H13+$H12+$H11+$H10)/Q_4,1)</f>
        <v>221</v>
      </c>
    </row>
    <row r="16" spans="8:12" ht="24.95" customHeight="1" x14ac:dyDescent="0.3">
      <c r="H16" s="3">
        <v>7</v>
      </c>
      <c r="I16" s="5">
        <f>Un-ROUND(0.0179*2*L_1*In*$H16/Q,1)-ROUND(0.0179*2*(L-L_1)/$H15*In*($H15+$H14+$H13+$H12+$H11+$H10)/Q,1)</f>
        <v>194.9</v>
      </c>
      <c r="J16" s="5">
        <f>Un-ROUND(0.0179*2*L_1*In*$H16/Q_2,1)-ROUND(0.0179*2*(L-L_1)/$H15*In*($H15+$H14+$H13+$H12+$H11+$H10)/Q_2,1)</f>
        <v>203.7</v>
      </c>
      <c r="K16" s="5">
        <f>Un-ROUND(0.0179*2*L_1*In*$H16/Q_3,1)-ROUND(0.0179*2*(L-L_1)/$H15*In*($H15+$H14+$H13+$H12+$H11+$H10)/Q_3,1)</f>
        <v>212.5</v>
      </c>
      <c r="L16" s="5">
        <f>Un-ROUND(0.0179*2*L_1*In*$H16/Q_4,1)-ROUND(0.0179*2*(L-L_1)/$H15*In*($H15+$H14+$H13+$H12+$H11+$H10)/Q_4,1)</f>
        <v>219.5</v>
      </c>
    </row>
    <row r="17" spans="8:12" ht="24.95" customHeight="1" x14ac:dyDescent="0.3">
      <c r="H17" s="3">
        <v>8</v>
      </c>
      <c r="I17" s="5">
        <f>Un-ROUND(0.0179*2*L_1*In*$H17/Q,1)-ROUND(0.0179*2*(L-L_1)/$H16*In*($H16+$H15+$H14+$H13+$H12+$H11+$H10)/Q,1)</f>
        <v>189.9</v>
      </c>
      <c r="J17" s="5">
        <f>Un-ROUND(0.0179*2*L_1*In*$H17/Q_2,1)-ROUND(0.0179*2*(L-L_1)/$H16*In*($H16+$H15+$H14+$H13+$H12+$H11+$H10)/Q_2,1)</f>
        <v>200</v>
      </c>
      <c r="K17" s="5">
        <f>Un-ROUND(0.0179*2*L_1*In*$H17/Q_3,1)-ROUND(0.0179*2*(L-L_1)/$H16*In*($H16+$H15+$H14+$H13+$H12+$H11+$H10)/Q_3,1)</f>
        <v>209.89999999999998</v>
      </c>
      <c r="L17" s="5">
        <f>Un-ROUND(0.0179*2*L_1*In*$H17/Q_4,1)-ROUND(0.0179*2*(L-L_1)/$H16*In*($H16+$H15+$H14+$H13+$H12+$H11+$H10)/Q_4,1)</f>
        <v>217.9</v>
      </c>
    </row>
    <row r="18" spans="8:12" ht="24.95" customHeight="1" x14ac:dyDescent="0.3">
      <c r="H18" s="3">
        <v>9</v>
      </c>
      <c r="I18" s="5">
        <f>Un-ROUND(0.0179*2*L_1*In*$H18/Q,1)-ROUND(0.0179*2*(L-L_1)/$H17*In*($H17+$H16+$H15+$H14+$H13+$H12+$H11+$H10)/Q,1)</f>
        <v>184.8</v>
      </c>
      <c r="J18" s="5">
        <f>Un-ROUND(0.0179*2*L_1*In*$H18/Q_2,1)-ROUND(0.0179*2*(L-L_1)/$H17*In*($H17+$H16+$H15+$H14+$H13+$H12+$H11+$H10)/Q_2,1)</f>
        <v>196.1</v>
      </c>
      <c r="K18" s="5">
        <f>Un-ROUND(0.0179*2*L_1*In*$H18/Q_3,1)-ROUND(0.0179*2*(L-L_1)/$H17*In*($H17+$H16+$H15+$H14+$H13+$H12+$H11+$H10)/Q_3,1)</f>
        <v>207.4</v>
      </c>
      <c r="L18" s="5">
        <f>Un-ROUND(0.0179*2*L_1*In*$H18/Q_4,1)-ROUND(0.0179*2*(L-L_1)/$H17*In*($H17+$H16+$H15+$H14+$H13+$H12+$H11+$H10)/Q_4,1)</f>
        <v>216.5</v>
      </c>
    </row>
    <row r="19" spans="8:12" ht="24.95" customHeight="1" x14ac:dyDescent="0.3">
      <c r="H19" s="3">
        <v>10</v>
      </c>
      <c r="I19" s="5">
        <f>Un-ROUND(0.0179*2*L_1*In*$H19/Q,1)-ROUND(0.0179*2*(L-L_1)/$H18*In*($H18+$H17+$H16+$H15+$H14+$H13+$H12+$H11+$H10)/Q,1)</f>
        <v>179.9</v>
      </c>
      <c r="J19" s="5">
        <f>Un-ROUND(0.0179*2*L_1*In*$H19/Q_2,1)-ROUND(0.0179*2*(L-L_1)/$H18*In*($H18+$H17+$H16+$H15+$H14+$H13+$H12+$H11+$H10)/Q_2,1)</f>
        <v>192.39999999999998</v>
      </c>
      <c r="K19" s="5">
        <f>Un-ROUND(0.0179*2*L_1*In*$H19/Q_3,1)-ROUND(0.0179*2*(L-L_1)/$H18*In*($H18+$H17+$H16+$H15+$H14+$H13+$H12+$H11+$H10)/Q_3,1)</f>
        <v>204.9</v>
      </c>
      <c r="L19" s="5">
        <f>Un-ROUND(0.0179*2*L_1*In*$H19/Q_4,1)-ROUND(0.0179*2*(L-L_1)/$H18*In*($H18+$H17+$H16+$H15+$H14+$H13+$H12+$H11+$H10)/Q_4,1)</f>
        <v>215</v>
      </c>
    </row>
    <row r="20" spans="8:12" ht="24.95" customHeight="1" x14ac:dyDescent="0.3">
      <c r="H20" s="3">
        <v>11</v>
      </c>
      <c r="I20" s="5">
        <f>Un-ROUND(0.0179*2*L_1*In*$H20/Q,1)-ROUND(0.0179*2*(L-L_1)/$H19*In*($H19+$H18+$H17+$H16+$H15+$H14+$H13+$H12+$H11+$H10)/Q,1)</f>
        <v>174.89999999999998</v>
      </c>
      <c r="J20" s="5">
        <f>Un-ROUND(0.0179*2*L_1*In*$H20/Q_2,1)-ROUND(0.0179*2*(L-L_1)/$H19*In*($H19+$H18+$H17+$H16+$H15+$H14+$H13+$H12+$H11+$H10)/Q_2,1)</f>
        <v>188.70000000000002</v>
      </c>
      <c r="K20" s="5">
        <f>Un-ROUND(0.0179*2*L_1*In*$H20/Q_3,1)-ROUND(0.0179*2*(L-L_1)/$H19*In*($H19+$H18+$H17+$H16+$H15+$H14+$H13+$H12+$H11+$H10)/Q_3,1)</f>
        <v>202.4</v>
      </c>
      <c r="L20" s="5">
        <f>Un-ROUND(0.0179*2*L_1*In*$H20/Q_4,1)-ROUND(0.0179*2*(L-L_1)/$H19*In*($H19+$H18+$H17+$H16+$H15+$H14+$H13+$H12+$H11+$H10)/Q_4,1)</f>
        <v>213.5</v>
      </c>
    </row>
    <row r="21" spans="8:12" ht="24.95" customHeight="1" x14ac:dyDescent="0.3">
      <c r="H21" s="3">
        <v>12</v>
      </c>
      <c r="I21" s="5">
        <f>Un-ROUND(0.0179*2*L_1*In*$H21/Q,1)-ROUND(0.0179*2*(L-L_1)/$H20*In*($H20+$H19+$H18+$H17+$H16+$H15+$H14+$H13+$H12+$H11+$H10)/Q,1)</f>
        <v>169.8</v>
      </c>
      <c r="J21" s="5">
        <f>Un-ROUND(0.0179*2*L_1*In*$H21/Q_2,1)-ROUND(0.0179*2*(L-L_1)/$H20*In*($H20+$H19+$H18+$H17+$H16+$H15+$H14+$H13+$H12+$H11+$H10)/Q_2,1)</f>
        <v>184.8</v>
      </c>
      <c r="K21" s="5">
        <f>Un-ROUND(0.0179*2*L_1*In*$H21/Q_3,1)-ROUND(0.0179*2*(L-L_1)/$H20*In*($H20+$H19+$H18+$H17+$H16+$H15+$H14+$H13+$H12+$H11+$H10)/Q_3,1)</f>
        <v>200</v>
      </c>
      <c r="L21" s="5">
        <f>Un-ROUND(0.0179*2*L_1*In*$H21/Q_4,1)-ROUND(0.0179*2*(L-L_1)/$H20*In*($H20+$H19+$H18+$H17+$H16+$H15+$H14+$H13+$H12+$H11+$H10)/Q_4,1)</f>
        <v>211.9</v>
      </c>
    </row>
    <row r="22" spans="8:12" ht="24.95" customHeight="1" x14ac:dyDescent="0.3">
      <c r="H22" s="3">
        <v>13</v>
      </c>
      <c r="I22" s="5">
        <f>Un-ROUND(0.0179*2*L_1*In*$H22/Q,1)-ROUND(0.0179*2*(L-L_1)/$H21*In*($H21+$H20+$H19+$H18+$H17+$H16+$H15+$H14+$H13+$H12+$H11+$H10)/Q,1)</f>
        <v>164.89999999999998</v>
      </c>
      <c r="J22" s="5">
        <f>Un-ROUND(0.0179*2*L_1*In*$H22/Q_2,1)-ROUND(0.0179*2*(L-L_1)/$H21*In*($H21+$H20+$H19+$H18+$H17+$H16+$H15+$H14+$H13+$H12+$H11+$H10)/Q_2,1)</f>
        <v>181.10000000000002</v>
      </c>
      <c r="K22" s="5">
        <f>Un-ROUND(0.0179*2*L_1*In*$H22/Q_3,1)-ROUND(0.0179*2*(L-L_1)/$H21*In*($H21+$H20+$H19+$H18+$H17+$H16+$H15+$H14+$H13+$H12+$H11+$H10)/Q_3,1)</f>
        <v>197.4</v>
      </c>
      <c r="L22" s="5">
        <f>Un-ROUND(0.0179*2*L_1*In*$H22/Q_4,1)-ROUND(0.0179*2*(L-L_1)/$H21*In*($H21+$H20+$H19+$H18+$H17+$H16+$H15+$H14+$H13+$H12+$H11+$H10)/Q_4,1)</f>
        <v>210.5</v>
      </c>
    </row>
    <row r="23" spans="8:12" ht="24.95" customHeight="1" x14ac:dyDescent="0.3">
      <c r="H23" s="3">
        <v>14</v>
      </c>
      <c r="I23" s="5">
        <f>Un-ROUND(0.0179*2*L_1*In*$H23/Q,1)-ROUND(0.0179*2*(L-L_1)/$H22*In*($H22+$H21+$H20+$H19+$H18+$H17+$H16+$H15+$H14+$H13+$H12+$H11+$H10)/Q,1)</f>
        <v>159.9</v>
      </c>
      <c r="J23" s="5">
        <f>Un-ROUND(0.0179*2*L_1*In*$H23/Q_2,1)-ROUND(0.0179*2*(L-L_1)/$H22*In*($H22+$H21+$H20+$H19+$H18+$H17+$H16+$H15+$H14+$H13+$H12+$H11+$H10)/Q_2,1)</f>
        <v>177.4</v>
      </c>
      <c r="K23" s="5">
        <f>Un-ROUND(0.0179*2*L_1*In*$H23/Q_3,1)-ROUND(0.0179*2*(L-L_1)/$H22*In*($H22+$H21+$H20+$H19+$H18+$H17+$H16+$H15+$H14+$H13+$H12+$H11+$H10)/Q_3,1)</f>
        <v>194.9</v>
      </c>
      <c r="L23" s="5">
        <f>Un-ROUND(0.0179*2*L_1*In*$H23/Q_4,1)-ROUND(0.0179*2*(L-L_1)/$H22*In*($H22+$H21+$H20+$H19+$H18+$H17+$H16+$H15+$H14+$H13+$H12+$H11+$H10)/Q_4,1)</f>
        <v>209</v>
      </c>
    </row>
    <row r="24" spans="8:12" ht="24.95" customHeight="1" x14ac:dyDescent="0.3">
      <c r="H24" s="3">
        <v>15</v>
      </c>
      <c r="I24" s="5">
        <f>Un-ROUND(0.0179*2*L_1*In*$H24/Q,1)-ROUND(0.0179*2*(L-L_1)/$H23*In*($H23+$H22+$H21+$H20+$H19+$H18+$H17+$H16+$H15+$H14+$H13+$H12+$H11+$H10)/Q,1)</f>
        <v>154.80000000000001</v>
      </c>
      <c r="J24" s="5">
        <f>Un-ROUND(0.0179*2*L_1*In*$H24/Q_2,1)-ROUND(0.0179*2*(L-L_1)/$H23*In*($H23+$H22+$H21+$H20+$H19+$H18+$H17+$H16+$H15+$H14+$H13+$H12+$H11+$H10)/Q_2,1)</f>
        <v>173.7</v>
      </c>
      <c r="K24" s="5">
        <f>Un-ROUND(0.0179*2*L_1*In*$H24/Q_3,1)-ROUND(0.0179*2*(L-L_1)/$H23*In*($H23+$H22+$H21+$H20+$H19+$H18+$H17+$H16+$H15+$H14+$H13+$H12+$H11+$H10)/Q_3,1)</f>
        <v>192.39999999999998</v>
      </c>
      <c r="L24" s="5">
        <f>Un-ROUND(0.0179*2*L_1*In*$H24/Q_4,1)-ROUND(0.0179*2*(L-L_1)/$H23*In*($H23+$H22+$H21+$H20+$H19+$H18+$H17+$H16+$H15+$H14+$H13+$H12+$H11+$H10)/Q_4,1)</f>
        <v>207.4</v>
      </c>
    </row>
    <row r="25" spans="8:12" ht="24.95" customHeight="1" x14ac:dyDescent="0.3">
      <c r="H25" s="3">
        <v>16</v>
      </c>
      <c r="I25" s="5">
        <f>Un-ROUND(0.0179*2*L_1*In*$H25/Q,1)-ROUND(0.0179*2*(L-L_1)/$H24*In*($H24+$H23+$H22+$H21+$H20+$H19+$H18+$H17+$H16+$H15+$H14+$H13+$H12+$H11+$H10)/Q,1)</f>
        <v>149.80000000000001</v>
      </c>
      <c r="J25" s="5">
        <f>Un-ROUND(0.0179*2*L_1*In*$H25/Q_2,1)-ROUND(0.0179*2*(L-L_1)/$H24*In*($H24+$H23+$H22+$H21+$H20+$H19+$H18+$H17+$H16+$H15+$H14+$H13+$H12+$H11+$H10)/Q_2,1)</f>
        <v>169.8</v>
      </c>
      <c r="K25" s="5">
        <f>Un-ROUND(0.0179*2*L_1*In*$H25/Q_3,1)-ROUND(0.0179*2*(L-L_1)/$H24*In*($H24+$H23+$H22+$H21+$H20+$H19+$H18+$H17+$H16+$H15+$H14+$H13+$H12+$H11+$H10)/Q_3,1)</f>
        <v>189.9</v>
      </c>
      <c r="L25" s="5">
        <f>Un-ROUND(0.0179*2*L_1*In*$H25/Q_4,1)-ROUND(0.0179*2*(L-L_1)/$H24*In*($H24+$H23+$H22+$H21+$H20+$H19+$H18+$H17+$H16+$H15+$H14+$H13+$H12+$H11+$H10)/Q_4,1)</f>
        <v>206</v>
      </c>
    </row>
    <row r="44" ht="39.75" customHeight="1" x14ac:dyDescent="0.25"/>
    <row r="63" spans="1:5" ht="18.75" x14ac:dyDescent="0.3">
      <c r="A63" s="1"/>
      <c r="B63" s="1"/>
      <c r="C63" s="1"/>
      <c r="D63" s="1"/>
      <c r="E63" s="1"/>
    </row>
    <row r="64" spans="1:5" ht="18.75" x14ac:dyDescent="0.3">
      <c r="A64" s="2" t="s">
        <v>2</v>
      </c>
      <c r="B64" s="1"/>
      <c r="C64" s="1"/>
      <c r="D64" s="1"/>
      <c r="E64" s="1"/>
    </row>
  </sheetData>
  <sheetProtection password="E572" sheet="1" objects="1" scenarios="1" selectLockedCells="1"/>
  <mergeCells count="5">
    <mergeCell ref="H2:J2"/>
    <mergeCell ref="H3:J3"/>
    <mergeCell ref="H4:J4"/>
    <mergeCell ref="H6:J6"/>
    <mergeCell ref="H5:J5"/>
  </mergeCells>
  <conditionalFormatting sqref="I10:L25">
    <cfRule type="cellIs" dxfId="0" priority="1" stopIfTrue="1" operator="lessThan">
      <formula>Un-(Un-Umin)</formula>
    </cfRule>
  </conditionalFormatting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9</vt:i4>
      </vt:variant>
    </vt:vector>
  </HeadingPairs>
  <TitlesOfParts>
    <vt:vector size="10" baseType="lpstr">
      <vt:lpstr>Tabelle1</vt:lpstr>
      <vt:lpstr>Tabelle1!In</vt:lpstr>
      <vt:lpstr>Tabelle1!L</vt:lpstr>
      <vt:lpstr>Tabelle1!L_1</vt:lpstr>
      <vt:lpstr>Tabelle1!Q</vt:lpstr>
      <vt:lpstr>Tabelle1!Q_2</vt:lpstr>
      <vt:lpstr>Tabelle1!Q_3</vt:lpstr>
      <vt:lpstr>Tabelle1!Q_4</vt:lpstr>
      <vt:lpstr>Umin</vt:lpstr>
      <vt:lpstr>Un</vt:lpstr>
    </vt:vector>
  </TitlesOfParts>
  <Company>Dunkermotoren GmbH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harald.mueller</dc:creator>
  <cp:lastModifiedBy>harald.mueller</cp:lastModifiedBy>
  <cp:lastPrinted>2011-04-07T14:07:44Z</cp:lastPrinted>
  <dcterms:created xsi:type="dcterms:W3CDTF">2011-04-07T13:59:17Z</dcterms:created>
  <dcterms:modified xsi:type="dcterms:W3CDTF">2016-01-15T14:33:59Z</dcterms:modified>
</cp:coreProperties>
</file>